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filterPrivacy="1"/>
  <xr:revisionPtr revIDLastSave="0" documentId="8_{7FEAE947-7DD5-4EE9-94CA-DDE38F218248}" xr6:coauthVersionLast="47" xr6:coauthVersionMax="47" xr10:uidLastSave="{00000000-0000-0000-0000-000000000000}"/>
  <bookViews>
    <workbookView xWindow="5985" yWindow="-16320" windowWidth="29040" windowHeight="15720" xr2:uid="{00000000-000D-0000-FFFF-FFFF00000000}"/>
  </bookViews>
  <sheets>
    <sheet name="Operations &amp; Org Budget" sheetId="1" r:id="rId1"/>
  </sheets>
  <definedNames>
    <definedName name="FY">'Operations &amp; Org Budget'!$G$1</definedName>
    <definedName name="FYY">#REF!</definedName>
  </definedName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G15" i="1"/>
  <c r="F46" i="1"/>
  <c r="F43" i="1"/>
  <c r="G43" i="1"/>
  <c r="F37" i="1"/>
  <c r="G37" i="1"/>
  <c r="F60" i="1"/>
  <c r="F61" i="1"/>
  <c r="F62" i="1"/>
  <c r="F63" i="1"/>
  <c r="F64" i="1"/>
  <c r="F65" i="1"/>
  <c r="F66" i="1"/>
  <c r="F67" i="1"/>
  <c r="F56" i="1"/>
  <c r="F57" i="1"/>
  <c r="F58" i="1"/>
  <c r="F59" i="1"/>
  <c r="F49" i="1"/>
  <c r="F50" i="1"/>
  <c r="F51" i="1"/>
  <c r="F52" i="1"/>
  <c r="F47" i="1"/>
  <c r="F48" i="1"/>
  <c r="F53" i="1"/>
  <c r="G46" i="1"/>
  <c r="F54" i="1"/>
  <c r="F55" i="1"/>
  <c r="F68" i="1"/>
  <c r="F44" i="1"/>
  <c r="G44" i="1"/>
  <c r="F45" i="1"/>
  <c r="G45" i="1"/>
  <c r="F40" i="1"/>
  <c r="G40" i="1"/>
  <c r="F36" i="1"/>
  <c r="G36" i="1"/>
  <c r="F38" i="1"/>
  <c r="G38" i="1"/>
  <c r="F39" i="1"/>
  <c r="G39" i="1"/>
  <c r="F29" i="1"/>
  <c r="G29" i="1"/>
  <c r="F31" i="1"/>
  <c r="G31" i="1"/>
  <c r="F32" i="1"/>
  <c r="G32" i="1"/>
  <c r="F18" i="1"/>
  <c r="G18" i="1"/>
  <c r="F16" i="1"/>
  <c r="G16" i="1"/>
  <c r="F17" i="1"/>
  <c r="G17" i="1"/>
  <c r="G47" i="1" l="1"/>
  <c r="F42" i="1"/>
  <c r="G42" i="1"/>
  <c r="F69" i="1"/>
  <c r="G69" i="1"/>
  <c r="F10" i="1"/>
  <c r="G10" i="1"/>
  <c r="F9" i="1"/>
  <c r="G9" i="1"/>
  <c r="F14" i="1"/>
  <c r="G14" i="1"/>
  <c r="F13" i="1"/>
  <c r="G13" i="1"/>
  <c r="F20" i="1"/>
  <c r="G20" i="1"/>
  <c r="F12" i="1"/>
  <c r="G12" i="1"/>
  <c r="F11" i="1"/>
  <c r="G11" i="1"/>
  <c r="G48" i="1" l="1"/>
  <c r="D70" i="1"/>
  <c r="E70" i="1"/>
  <c r="G49" i="1" l="1"/>
  <c r="F28" i="1"/>
  <c r="G28" i="1"/>
  <c r="F30" i="1"/>
  <c r="G30" i="1"/>
  <c r="F33" i="1"/>
  <c r="G33" i="1"/>
  <c r="F34" i="1"/>
  <c r="G34" i="1"/>
  <c r="F35" i="1"/>
  <c r="G35" i="1"/>
  <c r="F41" i="1"/>
  <c r="G41" i="1"/>
  <c r="G50" i="1" l="1"/>
  <c r="F70" i="1"/>
  <c r="G51" i="1" l="1"/>
  <c r="G53" i="1"/>
  <c r="E72" i="1"/>
  <c r="G52" i="1" l="1"/>
  <c r="F19" i="1"/>
  <c r="G19" i="1"/>
  <c r="G54" i="1" l="1"/>
  <c r="G7" i="1"/>
  <c r="G8" i="1"/>
  <c r="G55" i="1" l="1"/>
  <c r="G21" i="1"/>
  <c r="G56" i="1" l="1"/>
  <c r="F7" i="1"/>
  <c r="F8" i="1"/>
  <c r="D21" i="1"/>
  <c r="E21" i="1"/>
  <c r="C21" i="1"/>
  <c r="G57" i="1" l="1"/>
  <c r="D72" i="1"/>
  <c r="F72" i="1"/>
  <c r="F21" i="1"/>
  <c r="G58" i="1" l="1"/>
  <c r="G59" i="1" l="1"/>
  <c r="G60" i="1" l="1"/>
  <c r="G61" i="1" l="1"/>
  <c r="G62" i="1" l="1"/>
  <c r="G63" i="1" l="1"/>
  <c r="G64" i="1" l="1"/>
  <c r="G65" i="1" l="1"/>
  <c r="G66" i="1" l="1"/>
  <c r="G67" i="1" l="1"/>
  <c r="G68" i="1" l="1"/>
  <c r="G70" i="1" s="1"/>
  <c r="G72" i="1" s="1"/>
  <c r="C70" i="1"/>
  <c r="C72" i="1" s="1"/>
</calcChain>
</file>

<file path=xl/sharedStrings.xml><?xml version="1.0" encoding="utf-8"?>
<sst xmlns="http://schemas.openxmlformats.org/spreadsheetml/2006/main" count="110" uniqueCount="93">
  <si>
    <t>AVAHO Operations Budget</t>
  </si>
  <si>
    <t>FISCAL YEAR</t>
  </si>
  <si>
    <t>REVENUE</t>
  </si>
  <si>
    <t>FY2023</t>
  </si>
  <si>
    <t>FY2018</t>
  </si>
  <si>
    <t>PROPOSED</t>
  </si>
  <si>
    <t>ACTUAL2</t>
  </si>
  <si>
    <t>VARIANCE</t>
  </si>
  <si>
    <t>+/- PRIOR YEAR</t>
  </si>
  <si>
    <t>Notes/Explanation (JL)</t>
  </si>
  <si>
    <t>NOTES</t>
  </si>
  <si>
    <t>Membership Dues</t>
  </si>
  <si>
    <t>775 members @ $75/each</t>
  </si>
  <si>
    <t>Meeting Registration</t>
  </si>
  <si>
    <t>Single Room Supplement</t>
  </si>
  <si>
    <t>Pharma Symposia</t>
  </si>
  <si>
    <t>Donations</t>
  </si>
  <si>
    <t>620 people at $100</t>
  </si>
  <si>
    <t>Exhibitor Income</t>
  </si>
  <si>
    <t>Federal Practitioner Partnership</t>
  </si>
  <si>
    <t>Plexus, MedLearning, Prime, etc.</t>
  </si>
  <si>
    <t xml:space="preserve">Industry Relations </t>
  </si>
  <si>
    <t>Fun Run Event</t>
  </si>
  <si>
    <t>Records are not updated for 2022 as of 10/5/22</t>
  </si>
  <si>
    <t>Regional Meetings- Exhibitor Income</t>
  </si>
  <si>
    <t>Interest</t>
  </si>
  <si>
    <t>TOTALS</t>
  </si>
  <si>
    <t>EXPENSES</t>
  </si>
  <si>
    <t xml:space="preserve">Management Staff </t>
  </si>
  <si>
    <t>Julie, Sue and potentially an admin/social media person</t>
  </si>
  <si>
    <t>Office &amp; Supplies</t>
  </si>
  <si>
    <t>Licences &amp; Permits</t>
  </si>
  <si>
    <t>Bank Fees</t>
  </si>
  <si>
    <t>Insurance- General Liability and D&amp;O</t>
  </si>
  <si>
    <t>Credit Card Charges</t>
  </si>
  <si>
    <t>Website</t>
  </si>
  <si>
    <t>Includes regular accounting services, tax preparation (annual 990 filing) and Quickbook software expense</t>
  </si>
  <si>
    <t>Board Meetings</t>
  </si>
  <si>
    <t>2 meetings, each at:  $4,050 airfare ($450/each ), $2,160 hotel ($120/night x 2 nights x 9 members), $810 M&amp;IE ($30/day x 9 x 3 days), meeting space ($500), food ($650)</t>
  </si>
  <si>
    <t>includes 3 projected in-person meetings.</t>
  </si>
  <si>
    <t>Software/Licenses</t>
  </si>
  <si>
    <t xml:space="preserve">     Regional Meetings (3)</t>
  </si>
  <si>
    <t xml:space="preserve">Regional meetings (3) </t>
  </si>
  <si>
    <t>Dues &amp; Subscriptions</t>
  </si>
  <si>
    <t>Professional Fees (Accounting, Legal)</t>
  </si>
  <si>
    <t>Professional Fees (Consulting)</t>
  </si>
  <si>
    <t>Research Grant</t>
  </si>
  <si>
    <t>$25,000 will be released this year; future grants will fall under the foundation</t>
  </si>
  <si>
    <t>Depreciation</t>
  </si>
  <si>
    <t>Committee expenses</t>
  </si>
  <si>
    <t>Annual Meeting Expenses</t>
  </si>
  <si>
    <t xml:space="preserve">     AudioVisual</t>
  </si>
  <si>
    <t xml:space="preserve">     Meeting Venue</t>
  </si>
  <si>
    <t xml:space="preserve">     Travel Expenses</t>
  </si>
  <si>
    <t xml:space="preserve">     Supplies</t>
  </si>
  <si>
    <t xml:space="preserve">    Printing/Mailing</t>
  </si>
  <si>
    <t xml:space="preserve">     CME Accreditation</t>
  </si>
  <si>
    <t xml:space="preserve">     Posterboard Rental </t>
  </si>
  <si>
    <t xml:space="preserve">     Gifts</t>
  </si>
  <si>
    <t xml:space="preserve">     Honorarium</t>
  </si>
  <si>
    <t xml:space="preserve">     Staff Support </t>
  </si>
  <si>
    <t xml:space="preserve">     Exhibitor Passport Prizes</t>
  </si>
  <si>
    <t xml:space="preserve">     Travel Agency Fee</t>
  </si>
  <si>
    <t xml:space="preserve">     Transportation</t>
  </si>
  <si>
    <t xml:space="preserve">     Event Mobil App</t>
  </si>
  <si>
    <t xml:space="preserve">     Poster Awards</t>
  </si>
  <si>
    <t xml:space="preserve">     Hotel Room &amp; Taxes (additional)</t>
  </si>
  <si>
    <t xml:space="preserve">     Software Licenses (Zoom)</t>
  </si>
  <si>
    <t xml:space="preserve">     Photography Services</t>
  </si>
  <si>
    <t xml:space="preserve">     Entertainment</t>
  </si>
  <si>
    <t xml:space="preserve">     Sponsor Dinner</t>
  </si>
  <si>
    <t xml:space="preserve">     Reception</t>
  </si>
  <si>
    <t>NET INCOME</t>
  </si>
  <si>
    <t>we're going to increase the cost of registration slightly in 2024</t>
  </si>
  <si>
    <t>given the rise in costs for food, etc., we're increasing symposia cost</t>
  </si>
  <si>
    <t>we have a commitment for 100K for 2024</t>
  </si>
  <si>
    <t>with JoAnn on board, we're cultivating more income for 2024</t>
  </si>
  <si>
    <t>3  regionals, $30,000 in income each</t>
  </si>
  <si>
    <t>BUDGETED</t>
  </si>
  <si>
    <t>blue denotes actual for 2023</t>
  </si>
  <si>
    <t>Two additional staff full year (JoAnn and Candy); new contracts for all staff</t>
  </si>
  <si>
    <t>FY2024</t>
  </si>
  <si>
    <t>This will drop due to discontinuance of GrowthZone contract</t>
  </si>
  <si>
    <t>Note: 2023 was an exceptional year for A/V due to union restrictions.</t>
  </si>
  <si>
    <t>additional CME provided via application to SIGs in 2024</t>
  </si>
  <si>
    <t xml:space="preserve">     Special Courses (OCN, Health Literacy)</t>
  </si>
  <si>
    <t xml:space="preserve">2023 we held a special session due to Genentech funding </t>
  </si>
  <si>
    <t xml:space="preserve">Special Projects Funding </t>
  </si>
  <si>
    <t>Genentech funding in 2023</t>
  </si>
  <si>
    <t>In 2023 we have a volunteer photographer</t>
  </si>
  <si>
    <t xml:space="preserve">     Meeting Coordination</t>
  </si>
  <si>
    <t>For a full year of assistance - we brought coordination in late in 2023</t>
  </si>
  <si>
    <t>Current Assets 9/12/23)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</si>
</sst>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0.00_);\(0.00\)"/>
  </numFmts>
  <fonts count="24" x14ac:knownFonts="1">
    <font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3"/>
      <name val="Calibri"/>
      <family val="2"/>
      <scheme val="major"/>
    </font>
    <font>
      <b/>
      <sz val="14"/>
      <color theme="3"/>
      <name val="Calibri"/>
      <family val="2"/>
      <scheme val="minor"/>
    </font>
    <font>
      <sz val="19"/>
      <color theme="3"/>
      <name val="Calibri"/>
      <family val="2"/>
      <scheme val="major"/>
    </font>
    <font>
      <b/>
      <sz val="22"/>
      <color theme="4"/>
      <name val="Calibri"/>
      <family val="2"/>
      <scheme val="major"/>
    </font>
    <font>
      <b/>
      <sz val="19"/>
      <color theme="4"/>
      <name val="Calibri"/>
      <family val="2"/>
      <scheme val="major"/>
    </font>
    <font>
      <sz val="10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sz val="18"/>
      <color rgb="FFC0000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3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321900"/>
        <bgColor indexed="64"/>
      </patternFill>
    </fill>
    <fill>
      <patternFill patternType="solid">
        <fgColor rgb="FFF9FAF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Border="0" applyAlignment="0" applyProtection="0"/>
    <xf numFmtId="0" fontId="5" fillId="0" borderId="0" applyNumberFormat="0" applyBorder="0" applyAlignment="0" applyProtection="0"/>
    <xf numFmtId="0" fontId="4" fillId="2" borderId="0" applyNumberFormat="0" applyBorder="0" applyAlignment="0" applyProtection="0"/>
    <xf numFmtId="0" fontId="6" fillId="0" borderId="0" applyNumberFormat="0" applyAlignment="0" applyProtection="0"/>
    <xf numFmtId="0" fontId="3" fillId="2" borderId="0" applyNumberFormat="0" applyBorder="0" applyProtection="0">
      <alignment horizontal="right"/>
    </xf>
    <xf numFmtId="0" fontId="9" fillId="0" borderId="0"/>
  </cellStyleXfs>
  <cellXfs count="61">
    <xf numFmtId="0" fontId="0" fillId="0" borderId="0" xfId="0"/>
    <xf numFmtId="0" fontId="6" fillId="0" borderId="0" xfId="5" applyAlignment="1">
      <alignment horizontal="left"/>
    </xf>
    <xf numFmtId="39" fontId="0" fillId="0" borderId="0" xfId="0" applyNumberFormat="1" applyAlignment="1">
      <alignment vertical="center"/>
    </xf>
    <xf numFmtId="39" fontId="0" fillId="0" borderId="0" xfId="1" applyNumberFormat="1" applyFont="1" applyAlignment="1">
      <alignment horizontal="right" vertical="center" indent="1"/>
    </xf>
    <xf numFmtId="0" fontId="4" fillId="0" borderId="0" xfId="4" applyFill="1" applyAlignment="1">
      <alignment horizontal="right"/>
    </xf>
    <xf numFmtId="164" fontId="0" fillId="0" borderId="0" xfId="0" applyNumberFormat="1" applyAlignment="1">
      <alignment vertical="center"/>
    </xf>
    <xf numFmtId="164" fontId="0" fillId="0" borderId="0" xfId="1" applyNumberFormat="1" applyFont="1" applyFill="1" applyBorder="1" applyAlignment="1">
      <alignment horizontal="right" vertical="center" indent="1"/>
    </xf>
    <xf numFmtId="44" fontId="0" fillId="0" borderId="0" xfId="0" applyNumberFormat="1" applyAlignment="1">
      <alignment vertical="center"/>
    </xf>
    <xf numFmtId="38" fontId="0" fillId="0" borderId="0" xfId="0" applyNumberFormat="1" applyAlignment="1">
      <alignment vertical="center"/>
    </xf>
    <xf numFmtId="0" fontId="3" fillId="0" borderId="0" xfId="6" applyFill="1">
      <alignment horizontal="right"/>
    </xf>
    <xf numFmtId="0" fontId="3" fillId="0" borderId="0" xfId="6" applyFill="1" applyAlignment="1">
      <alignment horizontal="right" indent="1"/>
    </xf>
    <xf numFmtId="0" fontId="7" fillId="0" borderId="0" xfId="0" applyFont="1" applyAlignment="1">
      <alignment horizontal="right" vertical="top"/>
    </xf>
    <xf numFmtId="0" fontId="7" fillId="0" borderId="0" xfId="0" quotePrefix="1" applyFont="1" applyAlignment="1">
      <alignment horizontal="right" vertical="top" indent="1"/>
    </xf>
    <xf numFmtId="9" fontId="0" fillId="0" borderId="0" xfId="1" applyFont="1" applyAlignment="1">
      <alignment horizontal="right" vertical="center" indent="1"/>
    </xf>
    <xf numFmtId="7" fontId="0" fillId="3" borderId="0" xfId="0" applyNumberFormat="1" applyFill="1" applyAlignment="1">
      <alignment vertical="center"/>
    </xf>
    <xf numFmtId="7" fontId="0" fillId="3" borderId="0" xfId="0" applyNumberFormat="1" applyFill="1" applyAlignment="1">
      <alignment horizontal="right" vertical="center" indent="1"/>
    </xf>
    <xf numFmtId="7" fontId="8" fillId="3" borderId="0" xfId="0" applyNumberFormat="1" applyFont="1" applyFill="1" applyAlignment="1">
      <alignment vertical="center"/>
    </xf>
    <xf numFmtId="7" fontId="8" fillId="3" borderId="0" xfId="0" applyNumberFormat="1" applyFont="1" applyFill="1" applyAlignment="1">
      <alignment horizontal="right" vertical="center" indent="1"/>
    </xf>
    <xf numFmtId="7" fontId="10" fillId="3" borderId="0" xfId="0" applyNumberFormat="1" applyFont="1" applyFill="1" applyAlignment="1">
      <alignment vertical="center"/>
    </xf>
    <xf numFmtId="0" fontId="11" fillId="0" borderId="0" xfId="0" applyFont="1"/>
    <xf numFmtId="0" fontId="12" fillId="0" borderId="0" xfId="6" applyFont="1" applyFill="1">
      <alignment horizontal="right"/>
    </xf>
    <xf numFmtId="0" fontId="11" fillId="0" borderId="0" xfId="0" applyFont="1" applyAlignment="1">
      <alignment horizontal="right" vertical="top"/>
    </xf>
    <xf numFmtId="164" fontId="11" fillId="0" borderId="0" xfId="0" applyNumberFormat="1" applyFont="1" applyAlignment="1">
      <alignment vertical="center"/>
    </xf>
    <xf numFmtId="7" fontId="13" fillId="3" borderId="0" xfId="0" applyNumberFormat="1" applyFont="1" applyFill="1" applyAlignment="1">
      <alignment vertical="center"/>
    </xf>
    <xf numFmtId="44" fontId="11" fillId="0" borderId="0" xfId="0" applyNumberFormat="1" applyFont="1" applyAlignment="1">
      <alignment vertical="center"/>
    </xf>
    <xf numFmtId="39" fontId="11" fillId="0" borderId="0" xfId="0" applyNumberFormat="1" applyFont="1" applyAlignment="1">
      <alignment vertical="center"/>
    </xf>
    <xf numFmtId="39" fontId="11" fillId="4" borderId="0" xfId="0" applyNumberFormat="1" applyFont="1" applyFill="1" applyAlignment="1">
      <alignment vertical="center"/>
    </xf>
    <xf numFmtId="7" fontId="14" fillId="3" borderId="0" xfId="0" applyNumberFormat="1" applyFont="1" applyFill="1" applyAlignment="1">
      <alignment vertical="center"/>
    </xf>
    <xf numFmtId="0" fontId="15" fillId="0" borderId="0" xfId="0" applyFont="1" applyAlignment="1">
      <alignment horizontal="right" wrapText="1"/>
    </xf>
    <xf numFmtId="164" fontId="18" fillId="0" borderId="0" xfId="0" applyNumberFormat="1" applyFont="1" applyAlignment="1">
      <alignment horizontal="right" vertical="center" wrapText="1"/>
    </xf>
    <xf numFmtId="164" fontId="15" fillId="0" borderId="0" xfId="0" applyNumberFormat="1" applyFont="1" applyAlignment="1">
      <alignment horizontal="right" vertical="center" wrapText="1"/>
    </xf>
    <xf numFmtId="0" fontId="15" fillId="3" borderId="0" xfId="0" applyFont="1" applyFill="1" applyAlignment="1">
      <alignment horizontal="right" vertical="center" wrapText="1"/>
    </xf>
    <xf numFmtId="0" fontId="18" fillId="0" borderId="0" xfId="0" applyFont="1" applyAlignment="1">
      <alignment horizontal="right" vertical="center" wrapText="1"/>
    </xf>
    <xf numFmtId="0" fontId="18" fillId="5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/>
    </xf>
    <xf numFmtId="9" fontId="15" fillId="3" borderId="0" xfId="0" applyNumberFormat="1" applyFont="1" applyFill="1" applyAlignment="1">
      <alignment horizontal="right" vertical="center" wrapText="1"/>
    </xf>
    <xf numFmtId="0" fontId="2" fillId="0" borderId="0" xfId="2" applyAlignment="1">
      <alignment wrapText="1"/>
    </xf>
    <xf numFmtId="0" fontId="0" fillId="0" borderId="0" xfId="0" applyAlignment="1">
      <alignment wrapText="1"/>
    </xf>
    <xf numFmtId="0" fontId="17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0" fontId="13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8" fillId="3" borderId="0" xfId="0" applyFont="1" applyFill="1" applyAlignment="1">
      <alignment horizontal="left" vertical="center" wrapText="1"/>
    </xf>
    <xf numFmtId="9" fontId="19" fillId="0" borderId="0" xfId="1" applyFont="1" applyAlignment="1">
      <alignment horizontal="right" vertical="center" indent="1"/>
    </xf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 inden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7" fillId="0" borderId="0" xfId="0" quotePrefix="1" applyFont="1" applyAlignment="1">
      <alignment vertical="center"/>
    </xf>
    <xf numFmtId="9" fontId="7" fillId="3" borderId="0" xfId="0" applyNumberFormat="1" applyFont="1" applyFill="1"/>
    <xf numFmtId="0" fontId="0" fillId="0" borderId="0" xfId="0" applyAlignment="1">
      <alignment horizontal="center"/>
    </xf>
    <xf numFmtId="0" fontId="7" fillId="0" borderId="0" xfId="0" quotePrefix="1" applyFont="1" applyAlignment="1">
      <alignment horizontal="right" vertical="center"/>
    </xf>
    <xf numFmtId="0" fontId="20" fillId="0" borderId="0" xfId="0" applyFont="1" applyAlignment="1">
      <alignment wrapText="1"/>
    </xf>
    <xf numFmtId="4" fontId="21" fillId="0" borderId="0" xfId="0" applyNumberFormat="1" applyFont="1"/>
    <xf numFmtId="164" fontId="22" fillId="0" borderId="0" xfId="0" applyNumberFormat="1" applyFont="1" applyAlignment="1">
      <alignment vertical="center"/>
    </xf>
    <xf numFmtId="0" fontId="23" fillId="0" borderId="0" xfId="0" applyFont="1" applyAlignment="1">
      <alignment vertical="center" wrapText="1"/>
    </xf>
    <xf numFmtId="39" fontId="22" fillId="0" borderId="0" xfId="0" applyNumberFormat="1" applyFont="1" applyAlignment="1">
      <alignment vertical="center"/>
    </xf>
  </cellXfs>
  <cellStyles count="8"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Normal" xfId="0" builtinId="0" customBuiltin="1"/>
    <cellStyle name="Normal 2" xfId="7" xr:uid="{00000000-0005-0000-0000-000005000000}"/>
    <cellStyle name="Percent" xfId="1" builtinId="5"/>
    <cellStyle name="Title" xfId="2" builtinId="15" customBuiltin="1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3" formatCode="0%"/>
      <fill>
        <patternFill patternType="solid">
          <fgColor indexed="64"/>
          <bgColor rgb="FF321900"/>
        </patternFill>
      </fill>
    </dxf>
    <dxf>
      <font>
        <strike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family val="2"/>
        <scheme val="minor"/>
      </font>
      <numFmt numFmtId="13" formatCode="0%"/>
      <fill>
        <patternFill patternType="solid">
          <fgColor indexed="64"/>
          <bgColor rgb="FF321900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34998626667073579"/>
        <name val="Calibri"/>
        <family val="2"/>
        <scheme val="minor"/>
      </font>
      <alignment horizontal="right" vertical="center" textRotation="0" wrapText="1" indent="0" justifyLastLine="0" shrinkToFit="0" readingOrder="0"/>
    </dxf>
    <dxf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right" vertical="center" textRotation="0" wrapText="0" indent="1" justifyLastLine="0" shrinkToFit="0" readingOrder="0"/>
    </dxf>
    <dxf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32190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textRotation="0" wrapText="1" indent="0" justifyLastLine="0" shrinkToFit="0" readingOrder="0"/>
    </dxf>
    <dxf>
      <font>
        <color theme="5"/>
      </font>
    </dxf>
    <dxf>
      <font>
        <color theme="5"/>
      </font>
    </dxf>
    <dxf>
      <fill>
        <patternFill patternType="solid">
          <fgColor indexed="64"/>
          <bgColor rgb="FF321900"/>
        </patternFill>
      </fill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family val="2"/>
        <scheme val="minor"/>
      </font>
      <fill>
        <patternFill patternType="solid">
          <fgColor indexed="64"/>
          <bgColor rgb="FF321900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Calibri"/>
        <family val="2"/>
        <scheme val="minor"/>
      </font>
      <numFmt numFmtId="164" formatCode="0.00_);\(0.00\)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right" vertical="center" textRotation="0" wrapText="0" indent="1" justifyLastLine="0" shrinkToFit="0" readingOrder="0"/>
    </dxf>
    <dxf>
      <numFmt numFmtId="164" formatCode="0.00_);\(0.00\)"/>
      <fill>
        <patternFill patternType="none">
          <fgColor indexed="64"/>
          <bgColor auto="1"/>
        </patternFill>
      </fill>
      <alignment horizontal="right" textRotation="0" wrapText="0" indent="1" justifyLastLine="0" shrinkToFit="0" readingOrder="0"/>
    </dxf>
    <dxf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numFmt numFmtId="164" formatCode="0.00_);\(0.00\)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4" formatCode="0.00_);\(0.00\)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1" formatCode="&quot;$&quot;#,##0.00_);\(&quot;$&quot;#,##0.00\)"/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4" formatCode="0.00_);\(0.00\)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32190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ill>
        <patternFill patternType="solid">
          <fgColor indexed="64"/>
          <bgColor rgb="FF321900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color theme="3"/>
      </font>
    </dxf>
    <dxf>
      <font>
        <b/>
        <i val="0"/>
        <color theme="2"/>
      </font>
      <fill>
        <patternFill>
          <bgColor theme="3"/>
        </patternFill>
      </fill>
      <border diagonalUp="0" diagonalDown="0">
        <left style="thick">
          <color theme="3"/>
        </left>
        <right style="thick">
          <color theme="3"/>
        </right>
        <top style="thick">
          <color theme="3"/>
        </top>
        <bottom style="thick">
          <color theme="3"/>
        </bottom>
        <vertical/>
        <horizontal/>
      </border>
    </dxf>
    <dxf>
      <font>
        <color theme="4"/>
      </font>
      <border diagonalUp="0" diagonalDown="0">
        <left/>
        <right/>
        <top/>
        <bottom style="thick">
          <color theme="3"/>
        </bottom>
        <vertical/>
        <horizontal/>
      </border>
    </dxf>
    <dxf>
      <font>
        <color theme="3" tint="-0.24994659260841701"/>
      </font>
      <border>
        <vertical style="thick">
          <color theme="2"/>
        </vertical>
        <horizontal style="thin">
          <color theme="3" tint="0.39994506668294322"/>
        </horizontal>
      </border>
    </dxf>
  </dxfs>
  <tableStyles count="1" defaultTableStyle="Non-Profit Budget" defaultPivotStyle="PivotStyleMedium9">
    <tableStyle name="Non-Profit Budget" pivot="0" count="4" xr9:uid="{00000000-0011-0000-FFFF-FFFF00000000}">
      <tableStyleElement type="wholeTable" dxfId="39"/>
      <tableStyleElement type="headerRow" dxfId="38"/>
      <tableStyleElement type="totalRow" dxfId="37"/>
      <tableStyleElement type="firstColumn" dxfId="36"/>
    </tableStyle>
  </tableStyles>
  <colors>
    <mruColors>
      <color rgb="FFF9FAF4"/>
      <color rgb="FF321900"/>
      <color rgb="FFFDFDFB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venueTable" displayName="RevenueTable" ref="B6:I21" totalsRowCount="1" headerRowDxfId="35" dataDxfId="34" totalsRowDxfId="33">
  <tableColumns count="8">
    <tableColumn id="1" xr3:uid="{00000000-0010-0000-0000-000001000000}" name="REVENUE" totalsRowLabel="TOTALS" dataDxfId="32" totalsRowDxfId="31"/>
    <tableColumn id="2" xr3:uid="{00000000-0010-0000-0000-000002000000}" name="BUDGETED" totalsRowFunction="sum" dataDxfId="30" totalsRowDxfId="29"/>
    <tableColumn id="3" xr3:uid="{00000000-0010-0000-0000-000003000000}" name="PROPOSED" totalsRowFunction="sum" dataDxfId="28" totalsRowDxfId="27"/>
    <tableColumn id="4" xr3:uid="{00000000-0010-0000-0000-000004000000}" name="ACTUAL2" totalsRowFunction="sum" dataDxfId="26" totalsRowDxfId="25"/>
    <tableColumn id="5" xr3:uid="{00000000-0010-0000-0000-000005000000}" name="VARIANCE" totalsRowFunction="sum" dataDxfId="24" totalsRowDxfId="23">
      <calculatedColumnFormula>RevenueTable[[#This Row],[ACTUAL2]]-RevenueTable[[#This Row],[PROPOSED]]</calculatedColumnFormula>
    </tableColumn>
    <tableColumn id="6" xr3:uid="{00000000-0010-0000-0000-000006000000}" name="+/- PRIOR YEAR" totalsRowFunction="min" dataDxfId="22" totalsRowDxfId="21">
      <calculatedColumnFormula>RevenueTable[[#This Row],[ACTUAL2]]-RevenueTable[[#This Row],[BUDGETED]]</calculatedColumnFormula>
    </tableColumn>
    <tableColumn id="7" xr3:uid="{00000000-0010-0000-0000-000007000000}" name="Notes/Explanation (JL)" dataDxfId="20" totalsRowDxfId="19"/>
    <tableColumn id="8" xr3:uid="{51790A0B-0E18-414E-91F5-9F61A960291E}" name="NOTES" dataDxfId="18" totalsRowDxfId="17"/>
  </tableColumns>
  <tableStyleInfo name="Non-Profit Budget" showFirstColumn="1" showLastColumn="0" showRowStripes="1" showColumnStripes="0"/>
  <extLst>
    <ext xmlns:x14="http://schemas.microsoft.com/office/spreadsheetml/2009/9/main" uri="{504A1905-F514-4f6f-8877-14C23A59335A}">
      <x14:table altText="Revenue" altTextSummary="List of revenue and totals for the prior, proposed, actual fiscal year along with the variance and difference between prior year and actual budget amounts. 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ExpenseTable" displayName="ExpenseTable" ref="B27:I70" totalsRowCount="1" dataDxfId="16" totalsRowDxfId="15" totalsRowCellStyle="Percent">
  <tableColumns count="8">
    <tableColumn id="1" xr3:uid="{00000000-0010-0000-0100-000001000000}" name="EXPENSES" totalsRowLabel="TOTALS" dataDxfId="12" totalsRowDxfId="11"/>
    <tableColumn id="2" xr3:uid="{00000000-0010-0000-0100-000002000000}" name="BUDGETED" totalsRowFunction="sum" dataDxfId="10" totalsRowDxfId="9"/>
    <tableColumn id="3" xr3:uid="{00000000-0010-0000-0100-000003000000}" name="PROPOSED" totalsRowFunction="sum" dataDxfId="8" totalsRowDxfId="7"/>
    <tableColumn id="4" xr3:uid="{00000000-0010-0000-0100-000004000000}" name="ACTUAL2" totalsRowFunction="sum" totalsRowDxfId="6"/>
    <tableColumn id="5" xr3:uid="{00000000-0010-0000-0100-000005000000}" name="VARIANCE" totalsRowFunction="sum" totalsRowDxfId="5">
      <calculatedColumnFormula>ExpenseTable[[#This Row],[ACTUAL2]]-ExpenseTable[[#This Row],[PROPOSED]]</calculatedColumnFormula>
    </tableColumn>
    <tableColumn id="6" xr3:uid="{00000000-0010-0000-0100-000006000000}" name="+/- PRIOR YEAR" totalsRowFunction="sum" totalsRowDxfId="4" dataCellStyle="Percent">
      <calculatedColumnFormula>ExpenseTable[[#This Row],[ACTUAL2]]-ExpenseTable[[#This Row],[BUDGETED]]</calculatedColumnFormula>
    </tableColumn>
    <tableColumn id="7" xr3:uid="{00000000-0010-0000-0100-000007000000}" name="Notes/Explanation (JL)" dataDxfId="3" totalsRowDxfId="2"/>
    <tableColumn id="8" xr3:uid="{D018DE82-8F96-4F47-B017-CCDAD6BE4BFC}" name="NOTES" dataDxfId="1" totalsRowDxfId="0"/>
  </tableColumns>
  <tableStyleInfo name="Non-Profit Budget" showFirstColumn="1" showLastColumn="0" showRowStripes="1" showColumnStripes="0"/>
  <extLst>
    <ext xmlns:x14="http://schemas.microsoft.com/office/spreadsheetml/2009/9/main" uri="{504A1905-F514-4f6f-8877-14C23A59335A}">
      <x14:table altText="Revenue" altTextSummary="List of expenses and totals for the prior, proposed, actual fiscal year along with the variance and difference between prior year and actual budget amounts. "/>
    </ext>
  </extLst>
</table>
</file>

<file path=xl/theme/theme1.xml><?xml version="1.0" encoding="utf-8"?>
<a:theme xmlns:a="http://schemas.openxmlformats.org/drawingml/2006/main" name="Office Theme">
  <a:themeElements>
    <a:clrScheme name="Non Profit Budget">
      <a:dk1>
        <a:sysClr val="windowText" lastClr="000000"/>
      </a:dk1>
      <a:lt1>
        <a:sysClr val="window" lastClr="FFFFFF"/>
      </a:lt1>
      <a:dk2>
        <a:srgbClr val="47403C"/>
      </a:dk2>
      <a:lt2>
        <a:srgbClr val="FDFDFB"/>
      </a:lt2>
      <a:accent1>
        <a:srgbClr val="73B5C2"/>
      </a:accent1>
      <a:accent2>
        <a:srgbClr val="F47247"/>
      </a:accent2>
      <a:accent3>
        <a:srgbClr val="80C077"/>
      </a:accent3>
      <a:accent4>
        <a:srgbClr val="AD7A99"/>
      </a:accent4>
      <a:accent5>
        <a:srgbClr val="EBA91C"/>
      </a:accent5>
      <a:accent6>
        <a:srgbClr val="F08690"/>
      </a:accent6>
      <a:hlink>
        <a:srgbClr val="74ACDC"/>
      </a:hlink>
      <a:folHlink>
        <a:srgbClr val="AD7A99"/>
      </a:folHlink>
    </a:clrScheme>
    <a:fontScheme name="Non Profit Budge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 fitToPage="1"/>
  </sheetPr>
  <dimension ref="A1:I75"/>
  <sheetViews>
    <sheetView showGridLines="0" tabSelected="1" zoomScale="80" zoomScaleNormal="80" workbookViewId="0">
      <selection activeCell="L5" sqref="L5"/>
    </sheetView>
  </sheetViews>
  <sheetFormatPr defaultRowHeight="24" customHeight="1" x14ac:dyDescent="0.5"/>
  <cols>
    <col min="1" max="1" width="2.86328125" customWidth="1"/>
    <col min="2" max="2" width="41.265625" style="37" customWidth="1"/>
    <col min="3" max="3" width="17.59765625" bestFit="1" customWidth="1"/>
    <col min="4" max="4" width="18.86328125" style="19" customWidth="1"/>
    <col min="5" max="6" width="18.86328125" hidden="1" customWidth="1"/>
    <col min="7" max="7" width="2.86328125" hidden="1" customWidth="1"/>
    <col min="8" max="8" width="65.1328125" style="28" hidden="1" customWidth="1"/>
    <col min="9" max="9" width="102" style="46" hidden="1" customWidth="1"/>
  </cols>
  <sheetData>
    <row r="1" spans="2:9" ht="58.5" customHeight="1" x14ac:dyDescent="1.35">
      <c r="B1" s="36" t="s">
        <v>0</v>
      </c>
      <c r="F1" s="4" t="s">
        <v>1</v>
      </c>
      <c r="G1" s="1">
        <v>2018</v>
      </c>
    </row>
    <row r="2" spans="2:9" ht="24" customHeight="1" x14ac:dyDescent="1.35">
      <c r="B2" s="36"/>
      <c r="F2" s="4"/>
      <c r="G2" s="1"/>
    </row>
    <row r="4" spans="2:9" ht="24" customHeight="1" x14ac:dyDescent="0.7">
      <c r="B4" s="38" t="s">
        <v>2</v>
      </c>
    </row>
    <row r="5" spans="2:9" ht="24" customHeight="1" x14ac:dyDescent="0.55000000000000004">
      <c r="C5" s="9" t="s">
        <v>3</v>
      </c>
      <c r="D5" s="20" t="s">
        <v>81</v>
      </c>
      <c r="E5" s="9" t="s">
        <v>4</v>
      </c>
      <c r="F5" s="9" t="s">
        <v>4</v>
      </c>
      <c r="G5" s="10" t="s">
        <v>4</v>
      </c>
    </row>
    <row r="6" spans="2:9" ht="24" customHeight="1" x14ac:dyDescent="0.45">
      <c r="B6" s="39" t="s">
        <v>2</v>
      </c>
      <c r="C6" s="11" t="s">
        <v>78</v>
      </c>
      <c r="D6" s="21" t="s">
        <v>5</v>
      </c>
      <c r="E6" s="11" t="s">
        <v>6</v>
      </c>
      <c r="F6" s="11" t="s">
        <v>7</v>
      </c>
      <c r="G6" s="12" t="s">
        <v>8</v>
      </c>
      <c r="H6" s="28" t="s">
        <v>9</v>
      </c>
      <c r="I6" s="54" t="s">
        <v>10</v>
      </c>
    </row>
    <row r="7" spans="2:9" ht="24" customHeight="1" x14ac:dyDescent="0.45">
      <c r="B7" s="40" t="s">
        <v>11</v>
      </c>
      <c r="C7" s="58">
        <v>40075</v>
      </c>
      <c r="D7" s="22">
        <v>45000</v>
      </c>
      <c r="E7" s="5">
        <v>0</v>
      </c>
      <c r="F7" s="5">
        <f>RevenueTable[[#This Row],[ACTUAL2]]-RevenueTable[[#This Row],[PROPOSED]]</f>
        <v>-45000</v>
      </c>
      <c r="G7" s="6">
        <f>RevenueTable[[#This Row],[ACTUAL2]]-RevenueTable[[#This Row],[BUDGETED]]</f>
        <v>-40075</v>
      </c>
      <c r="H7" s="29" t="s">
        <v>12</v>
      </c>
      <c r="I7" s="48"/>
    </row>
    <row r="8" spans="2:9" ht="24" customHeight="1" x14ac:dyDescent="0.45">
      <c r="B8" s="40" t="s">
        <v>13</v>
      </c>
      <c r="C8" s="58">
        <v>73300</v>
      </c>
      <c r="D8" s="22">
        <v>115000</v>
      </c>
      <c r="E8" s="5">
        <v>0</v>
      </c>
      <c r="F8" s="5">
        <f>RevenueTable[[#This Row],[ACTUAL2]]-RevenueTable[[#This Row],[PROPOSED]]</f>
        <v>-115000</v>
      </c>
      <c r="G8" s="6">
        <f>RevenueTable[[#This Row],[ACTUAL2]]-RevenueTable[[#This Row],[BUDGETED]]</f>
        <v>-73300</v>
      </c>
      <c r="H8" s="30"/>
      <c r="I8" s="49" t="s">
        <v>73</v>
      </c>
    </row>
    <row r="9" spans="2:9" ht="24" customHeight="1" x14ac:dyDescent="0.45">
      <c r="B9" s="40" t="s">
        <v>14</v>
      </c>
      <c r="C9" s="58">
        <v>34000</v>
      </c>
      <c r="D9" s="22">
        <v>34000</v>
      </c>
      <c r="E9" s="5"/>
      <c r="F9" s="5">
        <f>RevenueTable[[#This Row],[ACTUAL2]]-RevenueTable[[#This Row],[PROPOSED]]</f>
        <v>-34000</v>
      </c>
      <c r="G9" s="6">
        <f>RevenueTable[[#This Row],[ACTUAL2]]-RevenueTable[[#This Row],[BUDGETED]]</f>
        <v>-34000</v>
      </c>
      <c r="H9" s="30"/>
      <c r="I9" s="49"/>
    </row>
    <row r="10" spans="2:9" ht="24" customHeight="1" x14ac:dyDescent="0.45">
      <c r="B10" s="40" t="s">
        <v>15</v>
      </c>
      <c r="C10" s="58">
        <v>150000</v>
      </c>
      <c r="D10" s="22">
        <v>200000</v>
      </c>
      <c r="E10" s="5"/>
      <c r="F10" s="5">
        <f>RevenueTable[[#This Row],[ACTUAL2]]-RevenueTable[[#This Row],[PROPOSED]]</f>
        <v>-200000</v>
      </c>
      <c r="G10" s="6">
        <f>RevenueTable[[#This Row],[ACTUAL2]]-RevenueTable[[#This Row],[BUDGETED]]</f>
        <v>-150000</v>
      </c>
      <c r="H10" s="30"/>
      <c r="I10" s="49" t="s">
        <v>74</v>
      </c>
    </row>
    <row r="11" spans="2:9" ht="24" customHeight="1" x14ac:dyDescent="0.45">
      <c r="B11" s="40" t="s">
        <v>16</v>
      </c>
      <c r="C11" s="22">
        <v>2770</v>
      </c>
      <c r="D11" s="22">
        <v>3000</v>
      </c>
      <c r="E11" s="5"/>
      <c r="F11" s="5">
        <f>RevenueTable[[#This Row],[ACTUAL2]]-RevenueTable[[#This Row],[PROPOSED]]</f>
        <v>-3000</v>
      </c>
      <c r="G11" s="6">
        <f>RevenueTable[[#This Row],[ACTUAL2]]-RevenueTable[[#This Row],[BUDGETED]]</f>
        <v>-2770</v>
      </c>
      <c r="H11" s="30"/>
      <c r="I11" s="49" t="s">
        <v>17</v>
      </c>
    </row>
    <row r="12" spans="2:9" ht="24" customHeight="1" x14ac:dyDescent="0.45">
      <c r="B12" s="40" t="s">
        <v>18</v>
      </c>
      <c r="C12" s="58">
        <v>1494000</v>
      </c>
      <c r="D12" s="22">
        <v>1510000</v>
      </c>
      <c r="E12" s="5"/>
      <c r="F12" s="5">
        <f>RevenueTable[[#This Row],[ACTUAL2]]-RevenueTable[[#This Row],[PROPOSED]]</f>
        <v>-1510000</v>
      </c>
      <c r="G12" s="6">
        <f>RevenueTable[[#This Row],[ACTUAL2]]-RevenueTable[[#This Row],[BUDGETED]]</f>
        <v>-1494000</v>
      </c>
      <c r="H12" s="30"/>
      <c r="I12" s="49"/>
    </row>
    <row r="13" spans="2:9" ht="24" customHeight="1" x14ac:dyDescent="0.45">
      <c r="B13" s="40" t="s">
        <v>19</v>
      </c>
      <c r="C13" s="22">
        <v>75000</v>
      </c>
      <c r="D13" s="22">
        <v>100000</v>
      </c>
      <c r="E13" s="5"/>
      <c r="F13" s="5">
        <f>RevenueTable[[#This Row],[ACTUAL2]]-RevenueTable[[#This Row],[PROPOSED]]</f>
        <v>-100000</v>
      </c>
      <c r="G13" s="6">
        <f>RevenueTable[[#This Row],[ACTUAL2]]-RevenueTable[[#This Row],[BUDGETED]]</f>
        <v>-75000</v>
      </c>
      <c r="H13" s="30"/>
      <c r="I13" s="49" t="s">
        <v>75</v>
      </c>
    </row>
    <row r="14" spans="2:9" ht="24" customHeight="1" x14ac:dyDescent="0.45">
      <c r="B14" s="40" t="s">
        <v>20</v>
      </c>
      <c r="C14" s="22">
        <v>60000</v>
      </c>
      <c r="D14" s="22">
        <v>150000</v>
      </c>
      <c r="E14" s="5"/>
      <c r="F14" s="5">
        <f>RevenueTable[[#This Row],[ACTUAL2]]-RevenueTable[[#This Row],[PROPOSED]]</f>
        <v>-150000</v>
      </c>
      <c r="G14" s="6">
        <f>RevenueTable[[#This Row],[ACTUAL2]]-RevenueTable[[#This Row],[BUDGETED]]</f>
        <v>-60000</v>
      </c>
      <c r="H14" s="30"/>
      <c r="I14" s="49" t="s">
        <v>76</v>
      </c>
    </row>
    <row r="15" spans="2:9" ht="24" customHeight="1" x14ac:dyDescent="0.45">
      <c r="B15" s="40" t="s">
        <v>87</v>
      </c>
      <c r="C15" s="22">
        <v>25000</v>
      </c>
      <c r="D15" s="22"/>
      <c r="E15" s="5"/>
      <c r="F15" s="5">
        <f>RevenueTable[[#This Row],[ACTUAL2]]-RevenueTable[[#This Row],[PROPOSED]]</f>
        <v>0</v>
      </c>
      <c r="G15" s="6">
        <f>RevenueTable[[#This Row],[ACTUAL2]]-RevenueTable[[#This Row],[BUDGETED]]</f>
        <v>-25000</v>
      </c>
      <c r="H15" s="30"/>
      <c r="I15" s="49" t="s">
        <v>88</v>
      </c>
    </row>
    <row r="16" spans="2:9" ht="24" customHeight="1" x14ac:dyDescent="0.45">
      <c r="B16" s="40" t="s">
        <v>21</v>
      </c>
      <c r="C16" s="58">
        <v>51000</v>
      </c>
      <c r="D16" s="22">
        <v>60000</v>
      </c>
      <c r="E16" s="5"/>
      <c r="F16" s="5">
        <f>RevenueTable[[#This Row],[ACTUAL2]]-RevenueTable[[#This Row],[PROPOSED]]</f>
        <v>-60000</v>
      </c>
      <c r="G16" s="6">
        <f>RevenueTable[[#This Row],[ACTUAL2]]-RevenueTable[[#This Row],[BUDGETED]]</f>
        <v>-51000</v>
      </c>
      <c r="H16" s="30"/>
      <c r="I16" s="49"/>
    </row>
    <row r="17" spans="2:9" ht="24" customHeight="1" x14ac:dyDescent="0.45">
      <c r="B17" s="40" t="s">
        <v>22</v>
      </c>
      <c r="C17" s="22">
        <v>2700</v>
      </c>
      <c r="D17" s="22">
        <v>3000</v>
      </c>
      <c r="E17" s="5"/>
      <c r="F17" s="5">
        <f>RevenueTable[[#This Row],[ACTUAL2]]-RevenueTable[[#This Row],[PROPOSED]]</f>
        <v>-3000</v>
      </c>
      <c r="G17" s="6">
        <f>RevenueTable[[#This Row],[ACTUAL2]]-RevenueTable[[#This Row],[BUDGETED]]</f>
        <v>-2700</v>
      </c>
      <c r="H17" s="30"/>
      <c r="I17" s="49" t="s">
        <v>23</v>
      </c>
    </row>
    <row r="18" spans="2:9" ht="24" customHeight="1" x14ac:dyDescent="0.45">
      <c r="B18" s="40" t="s">
        <v>24</v>
      </c>
      <c r="C18" s="58">
        <v>66450</v>
      </c>
      <c r="D18" s="22">
        <v>90000</v>
      </c>
      <c r="E18" s="5"/>
      <c r="F18" s="5">
        <f>RevenueTable[[#This Row],[ACTUAL2]]-RevenueTable[[#This Row],[PROPOSED]]</f>
        <v>-90000</v>
      </c>
      <c r="G18" s="6">
        <f>RevenueTable[[#This Row],[ACTUAL2]]-RevenueTable[[#This Row],[BUDGETED]]</f>
        <v>-66450</v>
      </c>
      <c r="H18" s="30"/>
      <c r="I18" s="49" t="s">
        <v>77</v>
      </c>
    </row>
    <row r="19" spans="2:9" ht="23.25" customHeight="1" x14ac:dyDescent="0.45">
      <c r="B19" s="40" t="s">
        <v>25</v>
      </c>
      <c r="C19" s="22">
        <v>10810</v>
      </c>
      <c r="D19" s="22">
        <v>20000</v>
      </c>
      <c r="E19" s="5">
        <v>0</v>
      </c>
      <c r="F19" s="5">
        <f>RevenueTable[[#This Row],[ACTUAL2]]-RevenueTable[[#This Row],[PROPOSED]]</f>
        <v>-20000</v>
      </c>
      <c r="G19" s="6">
        <f>RevenueTable[[#This Row],[ACTUAL2]]-RevenueTable[[#This Row],[BUDGETED]]</f>
        <v>-10810</v>
      </c>
      <c r="H19" s="30"/>
      <c r="I19" s="50"/>
    </row>
    <row r="20" spans="2:9" ht="23.25" customHeight="1" x14ac:dyDescent="0.45">
      <c r="B20" s="40"/>
      <c r="C20" s="22"/>
      <c r="D20" s="22"/>
      <c r="E20" s="5"/>
      <c r="F20" s="5">
        <f>RevenueTable[[#This Row],[ACTUAL2]]-RevenueTable[[#This Row],[PROPOSED]]</f>
        <v>0</v>
      </c>
      <c r="G20" s="6">
        <f>RevenueTable[[#This Row],[ACTUAL2]]-RevenueTable[[#This Row],[BUDGETED]]</f>
        <v>0</v>
      </c>
      <c r="H20" s="30"/>
      <c r="I20" s="50"/>
    </row>
    <row r="21" spans="2:9" ht="24" customHeight="1" x14ac:dyDescent="0.45">
      <c r="B21" s="41" t="s">
        <v>26</v>
      </c>
      <c r="C21" s="23">
        <f>SUBTOTAL(109,RevenueTable[BUDGETED])</f>
        <v>2085105</v>
      </c>
      <c r="D21" s="23">
        <f>SUBTOTAL(109,RevenueTable[PROPOSED])</f>
        <v>2330000</v>
      </c>
      <c r="E21" s="18">
        <f>SUBTOTAL(109,RevenueTable[ACTUAL2])</f>
        <v>0</v>
      </c>
      <c r="F21" s="14">
        <f>SUBTOTAL(109,RevenueTable[VARIANCE])</f>
        <v>-2330000</v>
      </c>
      <c r="G21" s="15">
        <f>SUBTOTAL(105,RevenueTable[+/- PRIOR YEAR])</f>
        <v>-1494000</v>
      </c>
      <c r="H21" s="31"/>
      <c r="I21" s="51"/>
    </row>
    <row r="22" spans="2:9" ht="24" customHeight="1" x14ac:dyDescent="0.45">
      <c r="B22" s="42"/>
      <c r="C22" s="34"/>
      <c r="D22" s="34"/>
      <c r="E22" s="34"/>
      <c r="F22" s="34"/>
      <c r="G22" s="34"/>
    </row>
    <row r="23" spans="2:9" ht="24" customHeight="1" x14ac:dyDescent="0.45">
      <c r="B23" s="59" t="s">
        <v>79</v>
      </c>
      <c r="C23" s="7"/>
      <c r="D23" s="24"/>
      <c r="E23" s="7"/>
      <c r="F23" s="7"/>
      <c r="G23" s="8"/>
    </row>
    <row r="24" spans="2:9" ht="24" customHeight="1" x14ac:dyDescent="0.45">
      <c r="B24" s="43" t="s">
        <v>27</v>
      </c>
      <c r="C24" s="7"/>
      <c r="D24" s="24"/>
      <c r="E24" s="7"/>
      <c r="F24" s="7"/>
      <c r="G24" s="8"/>
    </row>
    <row r="26" spans="2:9" ht="24" customHeight="1" x14ac:dyDescent="0.55000000000000004">
      <c r="C26" s="9" t="s">
        <v>3</v>
      </c>
      <c r="D26" s="20" t="s">
        <v>81</v>
      </c>
      <c r="E26" s="9" t="s">
        <v>4</v>
      </c>
      <c r="F26" s="9" t="s">
        <v>4</v>
      </c>
      <c r="G26" s="10" t="s">
        <v>4</v>
      </c>
    </row>
    <row r="27" spans="2:9" ht="24" customHeight="1" x14ac:dyDescent="0.45">
      <c r="B27" s="39" t="s">
        <v>27</v>
      </c>
      <c r="C27" s="11" t="s">
        <v>78</v>
      </c>
      <c r="D27" s="21" t="s">
        <v>5</v>
      </c>
      <c r="E27" s="11" t="s">
        <v>6</v>
      </c>
      <c r="F27" s="11" t="s">
        <v>7</v>
      </c>
      <c r="G27" s="12" t="s">
        <v>8</v>
      </c>
      <c r="H27" s="28" t="s">
        <v>9</v>
      </c>
      <c r="I27" s="47" t="s">
        <v>10</v>
      </c>
    </row>
    <row r="28" spans="2:9" ht="23.25" customHeight="1" x14ac:dyDescent="0.45">
      <c r="B28" s="40" t="s">
        <v>28</v>
      </c>
      <c r="C28" s="25">
        <v>292000</v>
      </c>
      <c r="D28" s="25">
        <v>470000</v>
      </c>
      <c r="E28" s="2"/>
      <c r="F28" s="2">
        <f>ExpenseTable[[#This Row],[ACTUAL2]]-ExpenseTable[[#This Row],[PROPOSED]]</f>
        <v>-470000</v>
      </c>
      <c r="G28" s="3">
        <f>ExpenseTable[[#This Row],[ACTUAL2]]-ExpenseTable[[#This Row],[BUDGETED]]</f>
        <v>-292000</v>
      </c>
      <c r="H28" s="32" t="s">
        <v>29</v>
      </c>
      <c r="I28" s="49" t="s">
        <v>80</v>
      </c>
    </row>
    <row r="29" spans="2:9" ht="21" customHeight="1" x14ac:dyDescent="0.45">
      <c r="B29" s="40" t="s">
        <v>30</v>
      </c>
      <c r="C29" s="25">
        <v>2900</v>
      </c>
      <c r="D29" s="25">
        <v>3000</v>
      </c>
      <c r="E29" s="2"/>
      <c r="F29" s="2">
        <f>ExpenseTable[[#This Row],[ACTUAL2]]-ExpenseTable[[#This Row],[PROPOSED]]</f>
        <v>-3000</v>
      </c>
      <c r="G29" s="13">
        <f>ExpenseTable[[#This Row],[ACTUAL2]]-ExpenseTable[[#This Row],[BUDGETED]]</f>
        <v>-2900</v>
      </c>
      <c r="H29" s="32"/>
      <c r="I29" s="50"/>
    </row>
    <row r="30" spans="2:9" ht="24" customHeight="1" x14ac:dyDescent="0.45">
      <c r="B30" s="40" t="s">
        <v>31</v>
      </c>
      <c r="C30" s="60">
        <v>130</v>
      </c>
      <c r="D30" s="25">
        <v>130</v>
      </c>
      <c r="E30" s="2"/>
      <c r="F30" s="2">
        <f>ExpenseTable[[#This Row],[ACTUAL2]]-ExpenseTable[[#This Row],[PROPOSED]]</f>
        <v>-130</v>
      </c>
      <c r="G30" s="3">
        <f>ExpenseTable[[#This Row],[ACTUAL2]]-ExpenseTable[[#This Row],[BUDGETED]]</f>
        <v>-130</v>
      </c>
      <c r="H30" s="32"/>
      <c r="I30" s="50"/>
    </row>
    <row r="31" spans="2:9" ht="24" customHeight="1" x14ac:dyDescent="0.45">
      <c r="B31" s="40" t="s">
        <v>32</v>
      </c>
      <c r="C31" s="25">
        <v>1300</v>
      </c>
      <c r="D31" s="25">
        <v>1400</v>
      </c>
      <c r="E31" s="2"/>
      <c r="F31" s="2">
        <f>ExpenseTable[[#This Row],[ACTUAL2]]-ExpenseTable[[#This Row],[PROPOSED]]</f>
        <v>-1400</v>
      </c>
      <c r="G31" s="13">
        <f>ExpenseTable[[#This Row],[ACTUAL2]]-ExpenseTable[[#This Row],[BUDGETED]]</f>
        <v>-1300</v>
      </c>
      <c r="H31" s="32"/>
      <c r="I31" s="50"/>
    </row>
    <row r="32" spans="2:9" ht="24" customHeight="1" x14ac:dyDescent="0.45">
      <c r="B32" s="40" t="s">
        <v>33</v>
      </c>
      <c r="C32" s="60">
        <v>1480</v>
      </c>
      <c r="D32" s="25">
        <v>1500</v>
      </c>
      <c r="E32" s="2"/>
      <c r="F32" s="2">
        <f>ExpenseTable[[#This Row],[ACTUAL2]]-ExpenseTable[[#This Row],[PROPOSED]]</f>
        <v>-1500</v>
      </c>
      <c r="G32" s="13">
        <f>ExpenseTable[[#This Row],[ACTUAL2]]-ExpenseTable[[#This Row],[BUDGETED]]</f>
        <v>-1480</v>
      </c>
      <c r="H32" s="32"/>
      <c r="I32" s="50"/>
    </row>
    <row r="33" spans="1:9" ht="24" customHeight="1" x14ac:dyDescent="0.45">
      <c r="B33" s="40" t="s">
        <v>34</v>
      </c>
      <c r="C33" s="25">
        <v>10000</v>
      </c>
      <c r="D33" s="25">
        <v>12000</v>
      </c>
      <c r="E33" s="2"/>
      <c r="F33" s="2">
        <f>ExpenseTable[[#This Row],[ACTUAL2]]-ExpenseTable[[#This Row],[PROPOSED]]</f>
        <v>-12000</v>
      </c>
      <c r="G33" s="45">
        <f>ExpenseTable[[#This Row],[ACTUAL2]]-ExpenseTable[[#This Row],[BUDGETED]]</f>
        <v>-10000</v>
      </c>
      <c r="H33" s="32"/>
      <c r="I33" s="49"/>
    </row>
    <row r="34" spans="1:9" ht="26.25" x14ac:dyDescent="0.45">
      <c r="B34" s="40" t="s">
        <v>35</v>
      </c>
      <c r="C34" s="60">
        <v>1400</v>
      </c>
      <c r="D34" s="25">
        <v>2000</v>
      </c>
      <c r="E34" s="2"/>
      <c r="F34" s="2">
        <f>ExpenseTable[[#This Row],[ACTUAL2]]-ExpenseTable[[#This Row],[PROPOSED]]</f>
        <v>-2000</v>
      </c>
      <c r="G34" s="45">
        <f>ExpenseTable[[#This Row],[ACTUAL2]]-ExpenseTable[[#This Row],[BUDGETED]]</f>
        <v>-1400</v>
      </c>
      <c r="H34" s="32" t="s">
        <v>36</v>
      </c>
      <c r="I34" s="49"/>
    </row>
    <row r="35" spans="1:9" ht="26.25" x14ac:dyDescent="0.45">
      <c r="B35" s="40" t="s">
        <v>37</v>
      </c>
      <c r="C35" s="25">
        <v>26600</v>
      </c>
      <c r="D35" s="26">
        <v>26600</v>
      </c>
      <c r="E35" s="2"/>
      <c r="F35" s="2">
        <f>ExpenseTable[[#This Row],[ACTUAL2]]-ExpenseTable[[#This Row],[PROPOSED]]</f>
        <v>-26600</v>
      </c>
      <c r="G35" s="3">
        <f>ExpenseTable[[#This Row],[ACTUAL2]]-ExpenseTable[[#This Row],[BUDGETED]]</f>
        <v>-26600</v>
      </c>
      <c r="H35" s="32" t="s">
        <v>38</v>
      </c>
      <c r="I35" s="55" t="s">
        <v>39</v>
      </c>
    </row>
    <row r="36" spans="1:9" ht="22.5" customHeight="1" x14ac:dyDescent="0.45">
      <c r="B36" s="40" t="s">
        <v>40</v>
      </c>
      <c r="C36" s="60">
        <v>23400</v>
      </c>
      <c r="D36" s="26">
        <v>15000</v>
      </c>
      <c r="E36" s="2"/>
      <c r="F36" s="2">
        <f>ExpenseTable[[#This Row],[ACTUAL2]]-ExpenseTable[[#This Row],[PROPOSED]]</f>
        <v>-15000</v>
      </c>
      <c r="G36" s="13">
        <f>ExpenseTable[[#This Row],[ACTUAL2]]-ExpenseTable[[#This Row],[BUDGETED]]</f>
        <v>-23400</v>
      </c>
      <c r="H36" s="32"/>
      <c r="I36" s="55" t="s">
        <v>82</v>
      </c>
    </row>
    <row r="37" spans="1:9" ht="22.5" customHeight="1" x14ac:dyDescent="0.45">
      <c r="A37" t="s">
        <v>41</v>
      </c>
      <c r="B37" s="40" t="s">
        <v>42</v>
      </c>
      <c r="C37" s="60">
        <v>90000</v>
      </c>
      <c r="D37" s="26">
        <v>90000</v>
      </c>
      <c r="E37" s="2"/>
      <c r="F37" s="2">
        <f>ExpenseTable[[#This Row],[ACTUAL2]]-ExpenseTable[[#This Row],[PROPOSED]]</f>
        <v>-90000</v>
      </c>
      <c r="G37" s="13">
        <f>ExpenseTable[[#This Row],[ACTUAL2]]-ExpenseTable[[#This Row],[BUDGETED]]</f>
        <v>-90000</v>
      </c>
      <c r="H37" s="32"/>
      <c r="I37" s="52"/>
    </row>
    <row r="38" spans="1:9" ht="21" customHeight="1" x14ac:dyDescent="0.45">
      <c r="B38" s="40" t="s">
        <v>43</v>
      </c>
      <c r="C38" s="25">
        <v>3500</v>
      </c>
      <c r="D38" s="26">
        <v>3500</v>
      </c>
      <c r="E38" s="2"/>
      <c r="F38" s="2">
        <f>ExpenseTable[[#This Row],[ACTUAL2]]-ExpenseTable[[#This Row],[PROPOSED]]</f>
        <v>-3500</v>
      </c>
      <c r="G38" s="13">
        <f>ExpenseTable[[#This Row],[ACTUAL2]]-ExpenseTable[[#This Row],[BUDGETED]]</f>
        <v>-3500</v>
      </c>
      <c r="H38" s="32"/>
      <c r="I38" s="52"/>
    </row>
    <row r="39" spans="1:9" ht="21.75" customHeight="1" x14ac:dyDescent="0.45">
      <c r="B39" s="40" t="s">
        <v>44</v>
      </c>
      <c r="C39" s="25">
        <v>13000</v>
      </c>
      <c r="D39" s="26">
        <v>15000</v>
      </c>
      <c r="E39" s="2"/>
      <c r="F39" s="2">
        <f>ExpenseTable[[#This Row],[ACTUAL2]]-ExpenseTable[[#This Row],[PROPOSED]]</f>
        <v>-15000</v>
      </c>
      <c r="G39" s="13">
        <f>ExpenseTable[[#This Row],[ACTUAL2]]-ExpenseTable[[#This Row],[BUDGETED]]</f>
        <v>-13000</v>
      </c>
      <c r="H39" s="32"/>
      <c r="I39" s="52"/>
    </row>
    <row r="40" spans="1:9" ht="21.75" customHeight="1" x14ac:dyDescent="0.45">
      <c r="B40" s="40" t="s">
        <v>45</v>
      </c>
      <c r="C40" s="25">
        <v>3000</v>
      </c>
      <c r="D40" s="26">
        <v>3000</v>
      </c>
      <c r="E40" s="2"/>
      <c r="F40" s="2">
        <f>ExpenseTable[[#This Row],[ACTUAL2]]-ExpenseTable[[#This Row],[PROPOSED]]</f>
        <v>-3000</v>
      </c>
      <c r="G40" s="13">
        <f>ExpenseTable[[#This Row],[ACTUAL2]]-ExpenseTable[[#This Row],[BUDGETED]]</f>
        <v>-3000</v>
      </c>
      <c r="H40" s="32"/>
      <c r="I40" s="55"/>
    </row>
    <row r="41" spans="1:9" ht="24" customHeight="1" x14ac:dyDescent="0.45">
      <c r="B41" s="40" t="s">
        <v>46</v>
      </c>
      <c r="C41" s="60">
        <v>25000</v>
      </c>
      <c r="D41" s="25"/>
      <c r="E41" s="2"/>
      <c r="F41" s="2">
        <f>ExpenseTable[[#This Row],[ACTUAL2]]-ExpenseTable[[#This Row],[PROPOSED]]</f>
        <v>0</v>
      </c>
      <c r="G41" s="13">
        <f>ExpenseTable[[#This Row],[ACTUAL2]]-ExpenseTable[[#This Row],[BUDGETED]]</f>
        <v>-25000</v>
      </c>
      <c r="H41" s="33"/>
      <c r="I41" s="49" t="s">
        <v>47</v>
      </c>
    </row>
    <row r="42" spans="1:9" ht="24" customHeight="1" x14ac:dyDescent="0.45">
      <c r="B42" s="40" t="s">
        <v>48</v>
      </c>
      <c r="C42" s="25">
        <v>2000</v>
      </c>
      <c r="D42" s="25">
        <v>2500</v>
      </c>
      <c r="E42" s="2"/>
      <c r="F42" s="2">
        <f>ExpenseTable[[#This Row],[ACTUAL2]]-ExpenseTable[[#This Row],[PROPOSED]]</f>
        <v>-2500</v>
      </c>
      <c r="G42" s="13">
        <f>ExpenseTable[[#This Row],[ACTUAL2]]-ExpenseTable[[#This Row],[BUDGETED]]</f>
        <v>-2000</v>
      </c>
      <c r="H42" s="32"/>
      <c r="I42" s="50"/>
    </row>
    <row r="43" spans="1:9" ht="24" customHeight="1" x14ac:dyDescent="0.45">
      <c r="B43" s="40" t="s">
        <v>49</v>
      </c>
      <c r="C43" s="25">
        <v>3500</v>
      </c>
      <c r="D43" s="25">
        <v>5000</v>
      </c>
      <c r="E43" s="2"/>
      <c r="F43" s="2">
        <f>ExpenseTable[[#This Row],[ACTUAL2]]-ExpenseTable[[#This Row],[PROPOSED]]</f>
        <v>-5000</v>
      </c>
      <c r="G43" s="13">
        <f>ExpenseTable[[#This Row],[ACTUAL2]]-ExpenseTable[[#This Row],[BUDGETED]]</f>
        <v>-3500</v>
      </c>
      <c r="H43" s="32"/>
      <c r="I43" s="50"/>
    </row>
    <row r="44" spans="1:9" ht="24" customHeight="1" x14ac:dyDescent="0.45">
      <c r="B44" s="40"/>
      <c r="C44" s="25"/>
      <c r="D44" s="25"/>
      <c r="E44" s="2"/>
      <c r="F44" s="2">
        <f>ExpenseTable[[#This Row],[ACTUAL2]]-ExpenseTable[[#This Row],[PROPOSED]]</f>
        <v>0</v>
      </c>
      <c r="G44" s="13">
        <f>ExpenseTable[[#This Row],[ACTUAL2]]-ExpenseTable[[#This Row],[BUDGETED]]</f>
        <v>0</v>
      </c>
      <c r="H44" s="32"/>
      <c r="I44" s="50"/>
    </row>
    <row r="45" spans="1:9" ht="24" customHeight="1" x14ac:dyDescent="0.45">
      <c r="B45" s="40" t="s">
        <v>50</v>
      </c>
      <c r="C45" s="25"/>
      <c r="D45" s="25"/>
      <c r="E45" s="2"/>
      <c r="F45" s="2">
        <f>ExpenseTable[[#This Row],[ACTUAL2]]-ExpenseTable[[#This Row],[PROPOSED]]</f>
        <v>0</v>
      </c>
      <c r="G45" s="13">
        <f>ExpenseTable[[#This Row],[ACTUAL2]]-ExpenseTable[[#This Row],[BUDGETED]]</f>
        <v>0</v>
      </c>
      <c r="H45" s="32"/>
      <c r="I45" s="50"/>
    </row>
    <row r="46" spans="1:9" ht="24" customHeight="1" x14ac:dyDescent="0.45">
      <c r="B46" s="40" t="s">
        <v>51</v>
      </c>
      <c r="C46" s="25">
        <v>210000</v>
      </c>
      <c r="D46" s="25">
        <v>130000</v>
      </c>
      <c r="E46" s="2"/>
      <c r="F46" s="2">
        <f>ExpenseTable[[#This Row],[ACTUAL2]]-ExpenseTable[[#This Row],[PROPOSED]]</f>
        <v>-130000</v>
      </c>
      <c r="G46" s="13">
        <f>ExpenseTable[[#This Row],[ACTUAL2]]-ExpenseTable[[#This Row],[BUDGETED]]</f>
        <v>-210000</v>
      </c>
      <c r="H46" s="32"/>
      <c r="I46" s="49" t="s">
        <v>83</v>
      </c>
    </row>
    <row r="47" spans="1:9" ht="24" customHeight="1" x14ac:dyDescent="0.45">
      <c r="B47" s="40" t="s">
        <v>52</v>
      </c>
      <c r="C47" s="25">
        <v>640000</v>
      </c>
      <c r="D47" s="25">
        <v>650000</v>
      </c>
      <c r="E47" s="2"/>
      <c r="F47" s="2">
        <f>ExpenseTable[[#This Row],[ACTUAL2]]-ExpenseTable[[#This Row],[PROPOSED]]</f>
        <v>-650000</v>
      </c>
      <c r="G47" s="13">
        <f>ExpenseTable[[#This Row],[ACTUAL2]]-ExpenseTable[[#This Row],[BUDGETED]]</f>
        <v>-640000</v>
      </c>
      <c r="H47" s="32"/>
      <c r="I47" s="50"/>
    </row>
    <row r="48" spans="1:9" ht="24" customHeight="1" x14ac:dyDescent="0.45">
      <c r="B48" s="40" t="s">
        <v>53</v>
      </c>
      <c r="C48" s="25">
        <v>165000</v>
      </c>
      <c r="D48" s="25">
        <v>170000</v>
      </c>
      <c r="E48" s="2"/>
      <c r="F48" s="2">
        <f>ExpenseTable[[#This Row],[ACTUAL2]]-ExpenseTable[[#This Row],[PROPOSED]]</f>
        <v>-170000</v>
      </c>
      <c r="G48" s="13">
        <f>ExpenseTable[[#This Row],[ACTUAL2]]-ExpenseTable[[#This Row],[BUDGETED]]</f>
        <v>-165000</v>
      </c>
      <c r="H48" s="32"/>
      <c r="I48" s="50"/>
    </row>
    <row r="49" spans="2:9" ht="24" customHeight="1" x14ac:dyDescent="0.45">
      <c r="B49" s="40" t="s">
        <v>54</v>
      </c>
      <c r="C49" s="25">
        <v>12000</v>
      </c>
      <c r="D49" s="25">
        <v>14000</v>
      </c>
      <c r="E49" s="2"/>
      <c r="F49" s="2">
        <f>ExpenseTable[[#This Row],[ACTUAL2]]-ExpenseTable[[#This Row],[PROPOSED]]</f>
        <v>-14000</v>
      </c>
      <c r="G49" s="13">
        <f>ExpenseTable[[#This Row],[ACTUAL2]]-ExpenseTable[[#This Row],[BUDGETED]]</f>
        <v>-12000</v>
      </c>
      <c r="H49" s="32"/>
      <c r="I49" s="50"/>
    </row>
    <row r="50" spans="2:9" ht="24" customHeight="1" x14ac:dyDescent="0.45">
      <c r="B50" s="40" t="s">
        <v>55</v>
      </c>
      <c r="C50" s="25">
        <v>7000</v>
      </c>
      <c r="D50" s="25">
        <v>7500</v>
      </c>
      <c r="E50" s="2"/>
      <c r="F50" s="2">
        <f>ExpenseTable[[#This Row],[ACTUAL2]]-ExpenseTable[[#This Row],[PROPOSED]]</f>
        <v>-7500</v>
      </c>
      <c r="G50" s="13">
        <f>ExpenseTable[[#This Row],[ACTUAL2]]-ExpenseTable[[#This Row],[BUDGETED]]</f>
        <v>-7000</v>
      </c>
      <c r="H50" s="32"/>
      <c r="I50" s="50"/>
    </row>
    <row r="51" spans="2:9" ht="24" customHeight="1" x14ac:dyDescent="0.45">
      <c r="B51" s="40" t="s">
        <v>56</v>
      </c>
      <c r="C51" s="25">
        <v>13000</v>
      </c>
      <c r="D51" s="25">
        <v>17000</v>
      </c>
      <c r="E51" s="2"/>
      <c r="F51" s="2">
        <f>ExpenseTable[[#This Row],[ACTUAL2]]-ExpenseTable[[#This Row],[PROPOSED]]</f>
        <v>-17000</v>
      </c>
      <c r="G51" s="13">
        <f>ExpenseTable[[#This Row],[ACTUAL2]]-ExpenseTable[[#This Row],[BUDGETED]]</f>
        <v>-13000</v>
      </c>
      <c r="H51" s="32"/>
      <c r="I51" s="49" t="s">
        <v>84</v>
      </c>
    </row>
    <row r="52" spans="2:9" ht="24" customHeight="1" x14ac:dyDescent="0.45">
      <c r="B52" s="40" t="s">
        <v>57</v>
      </c>
      <c r="C52" s="25">
        <v>500</v>
      </c>
      <c r="D52" s="25">
        <v>500</v>
      </c>
      <c r="E52" s="2"/>
      <c r="F52" s="2">
        <f>ExpenseTable[[#This Row],[ACTUAL2]]-ExpenseTable[[#This Row],[PROPOSED]]</f>
        <v>-500</v>
      </c>
      <c r="G52" s="13">
        <f>ExpenseTable[[#This Row],[ACTUAL2]]-ExpenseTable[[#This Row],[BUDGETED]]</f>
        <v>-500</v>
      </c>
      <c r="H52" s="32"/>
      <c r="I52" s="50"/>
    </row>
    <row r="53" spans="2:9" ht="24" customHeight="1" x14ac:dyDescent="0.45">
      <c r="B53" s="40" t="s">
        <v>58</v>
      </c>
      <c r="C53" s="25">
        <v>500</v>
      </c>
      <c r="D53" s="25">
        <v>500</v>
      </c>
      <c r="E53" s="2"/>
      <c r="F53" s="2">
        <f>ExpenseTable[[#This Row],[ACTUAL2]]-ExpenseTable[[#This Row],[PROPOSED]]</f>
        <v>-500</v>
      </c>
      <c r="G53" s="13">
        <f>ExpenseTable[[#This Row],[ACTUAL2]]-ExpenseTable[[#This Row],[BUDGETED]]</f>
        <v>-500</v>
      </c>
      <c r="H53" s="32"/>
      <c r="I53" s="50"/>
    </row>
    <row r="54" spans="2:9" ht="24" customHeight="1" x14ac:dyDescent="0.45">
      <c r="B54" s="40" t="s">
        <v>59</v>
      </c>
      <c r="C54" s="25">
        <v>8000</v>
      </c>
      <c r="D54" s="25">
        <v>9000</v>
      </c>
      <c r="E54" s="2"/>
      <c r="F54" s="2">
        <f>ExpenseTable[[#This Row],[ACTUAL2]]-ExpenseTable[[#This Row],[PROPOSED]]</f>
        <v>-9000</v>
      </c>
      <c r="G54" s="13">
        <f>ExpenseTable[[#This Row],[ACTUAL2]]-ExpenseTable[[#This Row],[BUDGETED]]</f>
        <v>-8000</v>
      </c>
      <c r="H54" s="32"/>
      <c r="I54" s="50"/>
    </row>
    <row r="55" spans="2:9" ht="24" customHeight="1" x14ac:dyDescent="0.45">
      <c r="B55" s="40" t="s">
        <v>60</v>
      </c>
      <c r="C55" s="25">
        <v>17500</v>
      </c>
      <c r="D55" s="25">
        <v>19500</v>
      </c>
      <c r="E55" s="2"/>
      <c r="F55" s="2">
        <f>ExpenseTable[[#This Row],[ACTUAL2]]-ExpenseTable[[#This Row],[PROPOSED]]</f>
        <v>-19500</v>
      </c>
      <c r="G55" s="13">
        <f>ExpenseTable[[#This Row],[ACTUAL2]]-ExpenseTable[[#This Row],[BUDGETED]]</f>
        <v>-17500</v>
      </c>
      <c r="H55" s="32"/>
      <c r="I55" s="50"/>
    </row>
    <row r="56" spans="2:9" ht="24" customHeight="1" x14ac:dyDescent="0.45">
      <c r="B56" s="40" t="s">
        <v>61</v>
      </c>
      <c r="C56" s="60">
        <v>1000</v>
      </c>
      <c r="D56" s="25">
        <v>1000</v>
      </c>
      <c r="E56" s="2"/>
      <c r="F56" s="2">
        <f>ExpenseTable[[#This Row],[ACTUAL2]]-ExpenseTable[[#This Row],[PROPOSED]]</f>
        <v>-1000</v>
      </c>
      <c r="G56" s="13">
        <f>ExpenseTable[[#This Row],[ACTUAL2]]-ExpenseTable[[#This Row],[BUDGETED]]</f>
        <v>-1000</v>
      </c>
      <c r="H56" s="32"/>
      <c r="I56" s="50"/>
    </row>
    <row r="57" spans="2:9" ht="24" customHeight="1" x14ac:dyDescent="0.45">
      <c r="B57" s="40" t="s">
        <v>62</v>
      </c>
      <c r="C57" s="25">
        <v>15000</v>
      </c>
      <c r="D57" s="25">
        <v>15000</v>
      </c>
      <c r="E57" s="2"/>
      <c r="F57" s="2">
        <f>ExpenseTable[[#This Row],[ACTUAL2]]-ExpenseTable[[#This Row],[PROPOSED]]</f>
        <v>-15000</v>
      </c>
      <c r="G57" s="13">
        <f>ExpenseTable[[#This Row],[ACTUAL2]]-ExpenseTable[[#This Row],[BUDGETED]]</f>
        <v>-15000</v>
      </c>
      <c r="H57" s="32"/>
      <c r="I57" s="49"/>
    </row>
    <row r="58" spans="2:9" ht="24" customHeight="1" x14ac:dyDescent="0.45">
      <c r="B58" s="40" t="s">
        <v>63</v>
      </c>
      <c r="C58" s="25">
        <v>2000</v>
      </c>
      <c r="D58" s="25">
        <v>2000</v>
      </c>
      <c r="E58" s="2"/>
      <c r="F58" s="2">
        <f>ExpenseTable[[#This Row],[ACTUAL2]]-ExpenseTable[[#This Row],[PROPOSED]]</f>
        <v>-2000</v>
      </c>
      <c r="G58" s="13">
        <f>ExpenseTable[[#This Row],[ACTUAL2]]-ExpenseTable[[#This Row],[BUDGETED]]</f>
        <v>-2000</v>
      </c>
      <c r="H58" s="32"/>
      <c r="I58" s="50"/>
    </row>
    <row r="59" spans="2:9" ht="24" customHeight="1" x14ac:dyDescent="0.45">
      <c r="B59" s="40" t="s">
        <v>64</v>
      </c>
      <c r="C59" s="25">
        <v>8000</v>
      </c>
      <c r="D59" s="25">
        <v>8000</v>
      </c>
      <c r="E59" s="2"/>
      <c r="F59" s="2">
        <f>ExpenseTable[[#This Row],[ACTUAL2]]-ExpenseTable[[#This Row],[PROPOSED]]</f>
        <v>-8000</v>
      </c>
      <c r="G59" s="13">
        <f>ExpenseTable[[#This Row],[ACTUAL2]]-ExpenseTable[[#This Row],[BUDGETED]]</f>
        <v>-8000</v>
      </c>
      <c r="H59" s="32"/>
      <c r="I59" s="50"/>
    </row>
    <row r="60" spans="2:9" ht="24" customHeight="1" x14ac:dyDescent="0.45">
      <c r="B60" s="40" t="s">
        <v>65</v>
      </c>
      <c r="C60" s="25">
        <v>1500</v>
      </c>
      <c r="D60" s="25">
        <v>1500</v>
      </c>
      <c r="E60" s="2"/>
      <c r="F60" s="2">
        <f>ExpenseTable[[#This Row],[ACTUAL2]]-ExpenseTable[[#This Row],[PROPOSED]]</f>
        <v>-1500</v>
      </c>
      <c r="G60" s="13">
        <f>ExpenseTable[[#This Row],[ACTUAL2]]-ExpenseTable[[#This Row],[BUDGETED]]</f>
        <v>-1500</v>
      </c>
      <c r="H60" s="32"/>
      <c r="I60" s="50"/>
    </row>
    <row r="61" spans="2:9" ht="24" customHeight="1" x14ac:dyDescent="0.45">
      <c r="B61" s="40" t="s">
        <v>66</v>
      </c>
      <c r="C61" s="25">
        <v>3000</v>
      </c>
      <c r="D61" s="25">
        <v>3500</v>
      </c>
      <c r="E61" s="2"/>
      <c r="F61" s="2">
        <f>ExpenseTable[[#This Row],[ACTUAL2]]-ExpenseTable[[#This Row],[PROPOSED]]</f>
        <v>-3500</v>
      </c>
      <c r="G61" s="13">
        <f>ExpenseTable[[#This Row],[ACTUAL2]]-ExpenseTable[[#This Row],[BUDGETED]]</f>
        <v>-3000</v>
      </c>
      <c r="H61" s="32"/>
      <c r="I61" s="50"/>
    </row>
    <row r="62" spans="2:9" ht="24" customHeight="1" x14ac:dyDescent="0.45">
      <c r="B62" s="40" t="s">
        <v>85</v>
      </c>
      <c r="C62" s="25">
        <v>26000</v>
      </c>
      <c r="D62" s="25">
        <v>3000</v>
      </c>
      <c r="E62" s="2"/>
      <c r="F62" s="2">
        <f>ExpenseTable[[#This Row],[ACTUAL2]]-ExpenseTable[[#This Row],[PROPOSED]]</f>
        <v>-3000</v>
      </c>
      <c r="G62" s="13">
        <f>ExpenseTable[[#This Row],[ACTUAL2]]-ExpenseTable[[#This Row],[BUDGETED]]</f>
        <v>-26000</v>
      </c>
      <c r="H62" s="32"/>
      <c r="I62" s="49" t="s">
        <v>86</v>
      </c>
    </row>
    <row r="63" spans="2:9" ht="24" customHeight="1" x14ac:dyDescent="0.45">
      <c r="B63" s="40" t="s">
        <v>67</v>
      </c>
      <c r="C63" s="25">
        <v>1000</v>
      </c>
      <c r="D63" s="25">
        <v>1500</v>
      </c>
      <c r="E63" s="2"/>
      <c r="F63" s="2">
        <f>ExpenseTable[[#This Row],[ACTUAL2]]-ExpenseTable[[#This Row],[PROPOSED]]</f>
        <v>-1500</v>
      </c>
      <c r="G63" s="13">
        <f>ExpenseTable[[#This Row],[ACTUAL2]]-ExpenseTable[[#This Row],[BUDGETED]]</f>
        <v>-1000</v>
      </c>
      <c r="H63" s="32"/>
      <c r="I63" s="50"/>
    </row>
    <row r="64" spans="2:9" ht="24" customHeight="1" x14ac:dyDescent="0.45">
      <c r="B64" s="40" t="s">
        <v>68</v>
      </c>
      <c r="C64" s="25">
        <v>0</v>
      </c>
      <c r="D64" s="25">
        <v>5000</v>
      </c>
      <c r="E64" s="2"/>
      <c r="F64" s="2">
        <f>ExpenseTable[[#This Row],[ACTUAL2]]-ExpenseTable[[#This Row],[PROPOSED]]</f>
        <v>-5000</v>
      </c>
      <c r="G64" s="13">
        <f>ExpenseTable[[#This Row],[ACTUAL2]]-ExpenseTable[[#This Row],[BUDGETED]]</f>
        <v>0</v>
      </c>
      <c r="H64" s="32"/>
      <c r="I64" s="49" t="s">
        <v>89</v>
      </c>
    </row>
    <row r="65" spans="2:9" ht="24" customHeight="1" x14ac:dyDescent="0.45">
      <c r="B65" s="40" t="s">
        <v>69</v>
      </c>
      <c r="C65" s="60">
        <v>6000</v>
      </c>
      <c r="D65" s="25">
        <v>4000</v>
      </c>
      <c r="E65" s="2"/>
      <c r="F65" s="2">
        <f>ExpenseTable[[#This Row],[ACTUAL2]]-ExpenseTable[[#This Row],[PROPOSED]]</f>
        <v>-4000</v>
      </c>
      <c r="G65" s="13">
        <f>ExpenseTable[[#This Row],[ACTUAL2]]-ExpenseTable[[#This Row],[BUDGETED]]</f>
        <v>-6000</v>
      </c>
      <c r="H65" s="32"/>
      <c r="I65" s="50"/>
    </row>
    <row r="66" spans="2:9" ht="24" customHeight="1" x14ac:dyDescent="0.45">
      <c r="B66" s="40" t="s">
        <v>70</v>
      </c>
      <c r="C66" s="25">
        <v>7000</v>
      </c>
      <c r="D66" s="25">
        <v>7000</v>
      </c>
      <c r="E66" s="2"/>
      <c r="F66" s="2">
        <f>ExpenseTable[[#This Row],[ACTUAL2]]-ExpenseTable[[#This Row],[PROPOSED]]</f>
        <v>-7000</v>
      </c>
      <c r="G66" s="13">
        <f>ExpenseTable[[#This Row],[ACTUAL2]]-ExpenseTable[[#This Row],[BUDGETED]]</f>
        <v>-7000</v>
      </c>
      <c r="H66" s="32"/>
      <c r="I66" s="50"/>
    </row>
    <row r="67" spans="2:9" ht="24" customHeight="1" x14ac:dyDescent="0.45">
      <c r="B67" s="40" t="s">
        <v>71</v>
      </c>
      <c r="C67" s="25">
        <v>65000</v>
      </c>
      <c r="D67" s="25">
        <v>70000</v>
      </c>
      <c r="E67" s="2"/>
      <c r="F67" s="2">
        <f>ExpenseTable[[#This Row],[ACTUAL2]]-ExpenseTable[[#This Row],[PROPOSED]]</f>
        <v>-70000</v>
      </c>
      <c r="G67" s="13">
        <f>ExpenseTable[[#This Row],[ACTUAL2]]-ExpenseTable[[#This Row],[BUDGETED]]</f>
        <v>-65000</v>
      </c>
      <c r="H67" s="32"/>
      <c r="I67" s="50"/>
    </row>
    <row r="68" spans="2:9" ht="24" customHeight="1" x14ac:dyDescent="0.45">
      <c r="B68" s="40" t="s">
        <v>90</v>
      </c>
      <c r="C68" s="60">
        <v>50000</v>
      </c>
      <c r="D68" s="25">
        <v>80000</v>
      </c>
      <c r="E68" s="2"/>
      <c r="F68" s="2">
        <f>ExpenseTable[[#This Row],[ACTUAL2]]-ExpenseTable[[#This Row],[PROPOSED]]</f>
        <v>-80000</v>
      </c>
      <c r="G68" s="13">
        <f>ExpenseTable[[#This Row],[ACTUAL2]]-ExpenseTable[[#This Row],[BUDGETED]]</f>
        <v>-50000</v>
      </c>
      <c r="H68" s="32"/>
      <c r="I68" s="49" t="s">
        <v>91</v>
      </c>
    </row>
    <row r="69" spans="2:9" ht="24" customHeight="1" x14ac:dyDescent="0.45">
      <c r="B69" s="40"/>
      <c r="C69" s="25"/>
      <c r="D69" s="25"/>
      <c r="E69" s="2"/>
      <c r="F69" s="2">
        <f>ExpenseTable[[#This Row],[ACTUAL2]]-ExpenseTable[[#This Row],[PROPOSED]]</f>
        <v>0</v>
      </c>
      <c r="G69" s="13">
        <f>ExpenseTable[[#This Row],[ACTUAL2]]-ExpenseTable[[#This Row],[BUDGETED]]</f>
        <v>0</v>
      </c>
      <c r="H69" s="32"/>
      <c r="I69" s="50"/>
    </row>
    <row r="70" spans="2:9" ht="24" customHeight="1" x14ac:dyDescent="0.45">
      <c r="B70" s="41" t="s">
        <v>26</v>
      </c>
      <c r="C70" s="23">
        <f>SUBTOTAL(109,ExpenseTable[BUDGETED])</f>
        <v>1758210</v>
      </c>
      <c r="D70" s="23">
        <f>SUBTOTAL(109,ExpenseTable[PROPOSED])</f>
        <v>1870130</v>
      </c>
      <c r="E70" s="18">
        <f>SUBTOTAL(109,ExpenseTable[ACTUAL2])</f>
        <v>0</v>
      </c>
      <c r="F70" s="14">
        <f>SUBTOTAL(109,ExpenseTable[VARIANCE])</f>
        <v>-1870130</v>
      </c>
      <c r="G70" s="15">
        <f>SUBTOTAL(109,ExpenseTable[+/- PRIOR YEAR])</f>
        <v>-1758210</v>
      </c>
      <c r="H70" s="35"/>
      <c r="I70" s="53"/>
    </row>
    <row r="72" spans="2:9" ht="24" customHeight="1" x14ac:dyDescent="0.45">
      <c r="B72" s="44" t="s">
        <v>72</v>
      </c>
      <c r="C72" s="16">
        <f>RevenueTable[[#Totals],[BUDGETED]]-ExpenseTable[[#Totals],[BUDGETED]]</f>
        <v>326895</v>
      </c>
      <c r="D72" s="27">
        <f>RevenueTable[[#Totals],[PROPOSED]]-ExpenseTable[[#Totals],[PROPOSED]]</f>
        <v>459870</v>
      </c>
      <c r="E72" s="16">
        <f>SUBTOTAL(109,ExpenseTable[ACTUAL2])</f>
        <v>0</v>
      </c>
      <c r="F72" s="16">
        <f>SUBTOTAL(109,ExpenseTable[VARIANCE])</f>
        <v>-1870130</v>
      </c>
      <c r="G72" s="17">
        <f>RevenueTable[[#Totals],[+/- PRIOR YEAR]]-ExpenseTable[[#Totals],[+/- PRIOR YEAR]]</f>
        <v>264210</v>
      </c>
    </row>
    <row r="75" spans="2:9" ht="24" customHeight="1" x14ac:dyDescent="0.65">
      <c r="B75" s="56" t="s">
        <v>92</v>
      </c>
      <c r="C75" s="57">
        <v>3644872</v>
      </c>
    </row>
  </sheetData>
  <conditionalFormatting sqref="C7:G8 D9:G9 C10:G21 C28:G69">
    <cfRule type="expression" dxfId="14" priority="7">
      <formula>C7&lt;0</formula>
    </cfRule>
  </conditionalFormatting>
  <conditionalFormatting sqref="C72:G72">
    <cfRule type="expression" dxfId="13" priority="1">
      <formula>C72&lt;0</formula>
    </cfRule>
  </conditionalFormatting>
  <printOptions horizontalCentered="1"/>
  <pageMargins left="0.7" right="0.7" top="0.75" bottom="0.75" header="0.3" footer="0.3"/>
  <pageSetup scale="63" orientation="portrait" r:id="rId1"/>
  <headerFooter differentFirst="1">
    <oddFooter>Page &amp;P of &amp;N</oddFooter>
  </headerFooter>
  <picture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ebe86f-a15c-46bb-8e7a-add4c2d54f58">
      <Terms xmlns="http://schemas.microsoft.com/office/infopath/2007/PartnerControls"/>
    </lcf76f155ced4ddcb4097134ff3c332f>
    <TaxCatchAll xmlns="d435401f-618e-4687-bc62-4b4f189b350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861BF36EF20041A2F328C53D1A930E" ma:contentTypeVersion="8" ma:contentTypeDescription="Create a new document." ma:contentTypeScope="" ma:versionID="83f989a71fbee23f05c0a0ba41626254">
  <xsd:schema xmlns:xsd="http://www.w3.org/2001/XMLSchema" xmlns:xs="http://www.w3.org/2001/XMLSchema" xmlns:p="http://schemas.microsoft.com/office/2006/metadata/properties" xmlns:ns2="87ebe86f-a15c-46bb-8e7a-add4c2d54f58" xmlns:ns3="d435401f-618e-4687-bc62-4b4f189b3506" targetNamespace="http://schemas.microsoft.com/office/2006/metadata/properties" ma:root="true" ma:fieldsID="c248df24d28788486f9416e0bb39ecf8" ns2:_="" ns3:_="">
    <xsd:import namespace="87ebe86f-a15c-46bb-8e7a-add4c2d54f58"/>
    <xsd:import namespace="d435401f-618e-4687-bc62-4b4f189b35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ebe86f-a15c-46bb-8e7a-add4c2d54f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9f848b32-b285-466a-8e42-e6ca4f8f91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35401f-618e-4687-bc62-4b4f189b350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fe70ca15-971d-4875-9183-e42bfcdd51f7}" ma:internalName="TaxCatchAll" ma:showField="CatchAllData" ma:web="d435401f-618e-4687-bc62-4b4f189b35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273377-802D-42FA-A108-AA11CAA9666A}">
  <ds:schemaRefs>
    <ds:schemaRef ds:uri="http://schemas.microsoft.com/office/2006/metadata/properties"/>
    <ds:schemaRef ds:uri="http://schemas.microsoft.com/office/infopath/2007/PartnerControls"/>
    <ds:schemaRef ds:uri="87ebe86f-a15c-46bb-8e7a-add4c2d54f58"/>
    <ds:schemaRef ds:uri="d435401f-618e-4687-bc62-4b4f189b3506"/>
  </ds:schemaRefs>
</ds:datastoreItem>
</file>

<file path=customXml/itemProps2.xml><?xml version="1.0" encoding="utf-8"?>
<ds:datastoreItem xmlns:ds="http://schemas.openxmlformats.org/officeDocument/2006/customXml" ds:itemID="{FB9ED53B-BEBD-47BF-8F0D-1FCC0ECBA0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ebe86f-a15c-46bb-8e7a-add4c2d54f58"/>
    <ds:schemaRef ds:uri="d435401f-618e-4687-bc62-4b4f189b35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FB58F1-A9CD-4896-9E61-7855AC143D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Operations &amp; Org Budget</vt:lpstr>
      <vt:lpstr>FY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2017-01-05T00:54:47Z</dcterms:created>
  <dcterms:modified xsi:type="dcterms:W3CDTF">2023-09-21T15:13:43Z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TC029300459991</vt:lpwstr>
  </property>
  <property fmtid="{D5CDD505-2E9C-101B-9397-08002B2CF9AE}" pid="3" name="ContentTypeId">
    <vt:lpwstr>0x010100E4861BF36EF20041A2F328C53D1A930E</vt:lpwstr>
  </property>
</Properties>
</file>